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cuments\에어비앤비\에어비앤비 강의 준비\"/>
    </mc:Choice>
  </mc:AlternateContent>
  <xr:revisionPtr revIDLastSave="0" documentId="13_ncr:1_{96860B16-1E3E-4CA9-BED9-81FCEE64659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수익성 판정기" sheetId="1" r:id="rId1"/>
    <sheet name="비교숙소 10개" sheetId="2" r:id="rId2"/>
    <sheet name="계산 가이드" sheetId="3" r:id="rId3"/>
  </sheets>
  <calcPr calcId="191029"/>
</workbook>
</file>

<file path=xl/calcChain.xml><?xml version="1.0" encoding="utf-8"?>
<calcChain xmlns="http://schemas.openxmlformats.org/spreadsheetml/2006/main">
  <c r="B14" i="1" l="1"/>
  <c r="B13" i="1"/>
  <c r="D26" i="1"/>
  <c r="D27" i="1"/>
  <c r="D25" i="1"/>
  <c r="I19" i="2"/>
  <c r="H19" i="2"/>
  <c r="G19" i="2"/>
  <c r="F19" i="2"/>
  <c r="E19" i="2"/>
  <c r="C19" i="2"/>
  <c r="B19" i="2"/>
  <c r="I18" i="2"/>
  <c r="H18" i="2"/>
  <c r="G18" i="2"/>
  <c r="F18" i="2"/>
  <c r="E18" i="2"/>
  <c r="C18" i="2"/>
  <c r="B18" i="2"/>
  <c r="I17" i="2"/>
  <c r="H17" i="2"/>
  <c r="G17" i="2"/>
  <c r="F17" i="2"/>
  <c r="E17" i="2"/>
  <c r="C17" i="2"/>
  <c r="B17" i="2"/>
  <c r="I16" i="2"/>
  <c r="H16" i="2"/>
  <c r="G16" i="2"/>
  <c r="F16" i="2"/>
  <c r="E16" i="2"/>
  <c r="C16" i="2"/>
  <c r="B16" i="2"/>
  <c r="D14" i="2"/>
  <c r="D13" i="2"/>
  <c r="D12" i="2"/>
  <c r="D11" i="2"/>
  <c r="D10" i="2"/>
  <c r="D9" i="2"/>
  <c r="D8" i="2"/>
  <c r="D7" i="2"/>
  <c r="D6" i="2"/>
  <c r="D5" i="2"/>
  <c r="D19" i="2" s="1"/>
  <c r="F36" i="1"/>
  <c r="E27" i="1"/>
  <c r="C27" i="1"/>
  <c r="E26" i="1"/>
  <c r="C26" i="1"/>
  <c r="E25" i="1"/>
  <c r="C25" i="1"/>
  <c r="B36" i="1" l="1"/>
  <c r="D36" i="1" s="1"/>
  <c r="H36" i="1" s="1"/>
  <c r="I36" i="1" s="1"/>
  <c r="H8" i="1" s="1"/>
  <c r="D16" i="2"/>
  <c r="B15" i="1" s="1"/>
  <c r="D17" i="2"/>
  <c r="D18" i="2"/>
  <c r="C19" i="1" l="1"/>
  <c r="G19" i="1" s="1"/>
  <c r="C20" i="1"/>
  <c r="G20" i="1" s="1"/>
  <c r="C21" i="1"/>
  <c r="G21" i="1" s="1"/>
  <c r="H21" i="1" l="1"/>
  <c r="F21" i="1"/>
  <c r="E21" i="1" s="1"/>
  <c r="H20" i="1"/>
  <c r="F20" i="1"/>
  <c r="E20" i="1" s="1"/>
  <c r="F19" i="1"/>
  <c r="E19" i="1" s="1"/>
  <c r="H19" i="1"/>
  <c r="I19" i="1" l="1"/>
  <c r="J19" i="1" s="1"/>
  <c r="B25" i="1" s="1"/>
  <c r="F25" i="1" s="1"/>
  <c r="G25" i="1" s="1"/>
  <c r="H25" i="1" s="1"/>
  <c r="I20" i="1"/>
  <c r="J20" i="1" s="1"/>
  <c r="B26" i="1" s="1"/>
  <c r="I21" i="1"/>
  <c r="J21" i="1" s="1"/>
  <c r="B27" i="1" s="1"/>
  <c r="F27" i="1" s="1"/>
  <c r="G27" i="1" s="1"/>
  <c r="H27" i="1" s="1"/>
  <c r="K20" i="1"/>
  <c r="K19" i="1"/>
  <c r="K21" i="1"/>
  <c r="L21" i="1" l="1"/>
  <c r="M21" i="1" s="1"/>
  <c r="L19" i="1"/>
  <c r="M19" i="1" s="1"/>
  <c r="L20" i="1"/>
  <c r="M20" i="1" s="1"/>
  <c r="F26" i="1"/>
  <c r="G26" i="1" s="1"/>
  <c r="H9" i="1" l="1"/>
  <c r="H6" i="1"/>
  <c r="H7" i="1"/>
  <c r="H26" i="1"/>
  <c r="H10" i="1" s="1"/>
</calcChain>
</file>

<file path=xl/sharedStrings.xml><?xml version="1.0" encoding="utf-8"?>
<sst xmlns="http://schemas.openxmlformats.org/spreadsheetml/2006/main" count="210" uniqueCount="185">
  <si>
    <t>노란색 셀만 직접 입력하세요. 회색 셀은 자동 계산 영역입니다. 비교숙소 평균, 시나리오, 월세 상한선, 최종 판정이 자동 계산됩니다.</t>
  </si>
  <si>
    <t>기본 입력</t>
  </si>
  <si>
    <t>최종 판정</t>
  </si>
  <si>
    <t>색상</t>
  </si>
  <si>
    <t>의미</t>
  </si>
  <si>
    <t>항목</t>
  </si>
  <si>
    <t>값(입력)</t>
  </si>
  <si>
    <t>설명</t>
  </si>
  <si>
    <t>결과</t>
  </si>
  <si>
    <t>해석</t>
  </si>
  <si>
    <t>노란색</t>
  </si>
  <si>
    <t>직접 입력</t>
  </si>
  <si>
    <t>목표 월 순수익</t>
  </si>
  <si>
    <t>초보 1호점 기준 최소 목표. 낮게 잡으면 버티는 힘이 약해질 수 있습니다.</t>
  </si>
  <si>
    <t>최종 신호</t>
  </si>
  <si>
    <t>초록=검토 가능 / 노랑=협상·보완 / 빨강=탈락 권장</t>
  </si>
  <si>
    <t>회색</t>
  </si>
  <si>
    <t>자동 계산</t>
  </si>
  <si>
    <t>월 고정비(월세+관리비)</t>
  </si>
  <si>
    <t>월세와 관리비만 입력합니다. 소모품·공과금과 중복 입력하지 마세요.</t>
  </si>
  <si>
    <t>월세 여유금액(기준)</t>
  </si>
  <si>
    <t>월 운영비(소모품/공과금/기타)</t>
  </si>
  <si>
    <t>전기·가스·수도·인터넷·소모품 등 월별 변동비를 보수적으로 입력합니다.</t>
  </si>
  <si>
    <t>BEP 예약률(근사)</t>
  </si>
  <si>
    <t>월 고정비와 운영비를 커버하는 데 필요한 대략 예약률</t>
  </si>
  <si>
    <t>청소 실장님, 세탁, 소모품 보충 등 실제 턴오버 비용입니다.</t>
  </si>
  <si>
    <t>기준 월 순이익</t>
  </si>
  <si>
    <t>기준 시나리오에서 남는 예상 금액</t>
  </si>
  <si>
    <t>게스트 청구 청소비(1회)</t>
  </si>
  <si>
    <t>수익이 아니라 청소비를 상쇄하는 장치로 보세요. 과하면 예약률이 떨어질 수 있습니다.</t>
  </si>
  <si>
    <t>현재 월세 상한 판정</t>
  </si>
  <si>
    <t>현재 월세+관리비가 목표 순수익 기준으로 안전한지 판정</t>
  </si>
  <si>
    <t>플랫폼 수수료율</t>
  </si>
  <si>
    <t>정책·계정·시점에 따라 달라질 수 있어 15~17% 범위로 보수 입력 권장.</t>
  </si>
  <si>
    <t>평균 숙박일수(ALS)</t>
  </si>
  <si>
    <t>총 예약일수 ÷ 예약건수. 짧을수록 청소비 부담이 커집니다.</t>
  </si>
  <si>
    <t>평일 1박 판매가</t>
  </si>
  <si>
    <t>주말 1박 판매가</t>
  </si>
  <si>
    <t>비교숙소 평균 예약률</t>
  </si>
  <si>
    <t>비교숙소 10개 입력표에서 자동 계산됩니다.</t>
  </si>
  <si>
    <t>시나리오 3종 계산</t>
  </si>
  <si>
    <t>시나리오</t>
  </si>
  <si>
    <t>예약률</t>
  </si>
  <si>
    <t>가격보정</t>
  </si>
  <si>
    <t>평일 예약일수</t>
  </si>
  <si>
    <t>주말 예약일수</t>
  </si>
  <si>
    <t>총 예약일수</t>
  </si>
  <si>
    <t>예약건수</t>
  </si>
  <si>
    <t>월매출</t>
  </si>
  <si>
    <t>호스트 수령액</t>
  </si>
  <si>
    <t>총비용</t>
  </si>
  <si>
    <t>월 순이익</t>
  </si>
  <si>
    <t>판정</t>
  </si>
  <si>
    <t>최악</t>
  </si>
  <si>
    <t>오픈 초기·비수기·경쟁 심화 가정</t>
  </si>
  <si>
    <t>기준</t>
  </si>
  <si>
    <t>주변 평균 예약률과 평균 가격 기준</t>
  </si>
  <si>
    <t>낙관</t>
  </si>
  <si>
    <t>후기 확보 후 잘 풀리는 경우</t>
  </si>
  <si>
    <t>월세 상한선 역산</t>
  </si>
  <si>
    <t>월 운영비</t>
  </si>
  <si>
    <t>청소/세탁 총비용</t>
  </si>
  <si>
    <t>목표 순수익</t>
  </si>
  <si>
    <t>감당 가능한 월세+관리비 상한</t>
  </si>
  <si>
    <t>현재 월세 대비 여유</t>
  </si>
  <si>
    <t>수익성 신호등 해석</t>
  </si>
  <si>
    <t>초록</t>
  </si>
  <si>
    <t>최악 또는 기준 시나리오에서도 목표 순이익에 근접/달성. 계약 검토 가능.</t>
  </si>
  <si>
    <t>노랑</t>
  </si>
  <si>
    <t>기준은 가능하지만 최악에서 무너짐. 월세 협상, 초기비용 절감, 가격 전략 보완 필요.</t>
  </si>
  <si>
    <t>빨강</t>
  </si>
  <si>
    <t>낙관 시나리오에서도 목표 순이익이 어렵거나 적자 가능성 큼. 구조상 탈락 권장.</t>
  </si>
  <si>
    <t>BEP 예약률 근사 계산</t>
  </si>
  <si>
    <t>가중 평균 1박가</t>
  </si>
  <si>
    <t>1박 기여이익</t>
  </si>
  <si>
    <t>월 비용</t>
  </si>
  <si>
    <t>BEP 예약일수</t>
  </si>
  <si>
    <t>BEP 예약률</t>
  </si>
  <si>
    <t>주의</t>
  </si>
  <si>
    <t>이 표는 수익을 보장하지 않습니다. 계약 전에는 합법성, 임대인 동의, 전입세대 동의, 관할 구청 기준을 별도로 확인하세요.</t>
  </si>
  <si>
    <t>입력 위치 요약</t>
  </si>
  <si>
    <t>수익성 판정기</t>
  </si>
  <si>
    <t>B6:B12</t>
  </si>
  <si>
    <t>목표 순수익, 월세·관리비, 운영비, 청소비, 수수료, ALS 입력</t>
  </si>
  <si>
    <t>D19:D21</t>
  </si>
  <si>
    <t>최악/기준/낙관 시나리오의 가격 보정률 조정</t>
  </si>
  <si>
    <t>비교숙소 10개</t>
  </si>
  <si>
    <t>A5:C14, E5:J14</t>
  </si>
  <si>
    <t>숙소명, 검색기간, 예약일수, 평일가, 주말가, 후기, ALS, 비고 입력</t>
  </si>
  <si>
    <t>비교숙소 10개 입력표</t>
  </si>
  <si>
    <t>노란색 셀만 직접 입력하세요. 예약률은 예약일수 ÷ 검색기간으로 자동 계산됩니다. 회색 셀은 자동 계산 영역입니다.</t>
  </si>
  <si>
    <t>숙소명</t>
  </si>
  <si>
    <t>예약일수</t>
  </si>
  <si>
    <t>후기평점</t>
  </si>
  <si>
    <t>후기수</t>
  </si>
  <si>
    <t>ALS(선택)</t>
  </si>
  <si>
    <t>비고</t>
  </si>
  <si>
    <t>숙소 A</t>
  </si>
  <si>
    <t>숙소 B</t>
  </si>
  <si>
    <t>숙소 C</t>
  </si>
  <si>
    <t>숙소 D</t>
  </si>
  <si>
    <t>숙소 E</t>
  </si>
  <si>
    <t>숙소 F</t>
  </si>
  <si>
    <t>숙소 G</t>
  </si>
  <si>
    <t>숙소 H</t>
  </si>
  <si>
    <t>숙소 I</t>
  </si>
  <si>
    <t>숙소 J</t>
  </si>
  <si>
    <t>평균</t>
  </si>
  <si>
    <t>비교숙소 10개 평균</t>
  </si>
  <si>
    <t>중앙값</t>
  </si>
  <si>
    <t>극단값 영향을 줄인 참고값</t>
  </si>
  <si>
    <t>최소</t>
  </si>
  <si>
    <t>보수 시나리오 참고</t>
  </si>
  <si>
    <t>최대</t>
  </si>
  <si>
    <t>낙관 시나리오 참고</t>
  </si>
  <si>
    <t>입력 팁</t>
  </si>
  <si>
    <t>예약이 막힌 날이 모두 실제 예약은 아닐 수 있습니다. 완벽한 예측보다 위험한 매물을 거르는 용도로 사용하세요.</t>
  </si>
  <si>
    <t>계산 가이드 / 용어 설명</t>
  </si>
  <si>
    <t>이 파일의 목적</t>
  </si>
  <si>
    <t>매출이 아니라 순수익 구조를 보고, 후보 매물을 계약해도 되는지 1차 판정하는 것입니다.</t>
  </si>
  <si>
    <t>사용 순서</t>
  </si>
  <si>
    <t>확인 포인트</t>
  </si>
  <si>
    <t>다음 행동</t>
  </si>
  <si>
    <t>1. 비교숙소 10개 입력</t>
  </si>
  <si>
    <t>후보 매물 반경 1km 내 유사 구조 숙소 10개를 입력합니다.</t>
  </si>
  <si>
    <t>예약률·평일가·주말가 평균 확인</t>
  </si>
  <si>
    <t>극단적으로 비싸거나 낮은 표본은 비고에 표시</t>
  </si>
  <si>
    <t>2. 기본 입력 수정</t>
  </si>
  <si>
    <t>월세, 관리비, 운영비, 청소비, 플랫폼 수수료를 입력합니다.</t>
  </si>
  <si>
    <t>고정비와 운영비 중복 입력 금지</t>
  </si>
  <si>
    <t>수수료는 15~17% 범위에서 보수 입력</t>
  </si>
  <si>
    <t>3. 시나리오 확인</t>
  </si>
  <si>
    <t>최악/기준/낙관 3개 시나리오의 순이익을 봅니다.</t>
  </si>
  <si>
    <t>낙관보다 최악과 기준에서 버티는지 확인</t>
  </si>
  <si>
    <t>기준만 겨우 통과하면 월세 협상 필요</t>
  </si>
  <si>
    <t>4. 월세 상한선 확인</t>
  </si>
  <si>
    <t>현재 월세가 목표 순수익을 깎아먹는지 역산합니다.</t>
  </si>
  <si>
    <t>여유금액이 마이너스면 위험</t>
  </si>
  <si>
    <t>초기비용 절감 또는 계약 보류 검토</t>
  </si>
  <si>
    <t>5. 최종 신호 확인</t>
  </si>
  <si>
    <t>초록/노랑/빨강으로 1차 의사결정합니다.</t>
  </si>
  <si>
    <t>빨강은 운영 실력으로 살리려 하지 않기</t>
  </si>
  <si>
    <t>숫자 통과 후 4강 차별화 전략으로 이동</t>
  </si>
  <si>
    <t>용어</t>
  </si>
  <si>
    <t>정리</t>
  </si>
  <si>
    <t>수강생이 자주 틀리는 지점</t>
  </si>
  <si>
    <t>메모</t>
  </si>
  <si>
    <t>게스트 판매액</t>
  </si>
  <si>
    <t>게스트가 결제하는 판매가 기준 매출입니다.</t>
  </si>
  <si>
    <t>매출을 순수익으로 착각하면 안 됩니다.</t>
  </si>
  <si>
    <t>에어비앤비 수수료 구조는 계정·정책·시점에 따라 달라질 수 있습니다. 이 템플릿은 보수적으로 15~17% 범위 입력을 권장합니다.</t>
  </si>
  <si>
    <t>3.3%와 15~17%를 혼용하면 계산이 무너집니다.</t>
  </si>
  <si>
    <t>월 고정비</t>
  </si>
  <si>
    <t>월세와 관리비처럼 매달 고정으로 나가는 비용입니다.</t>
  </si>
  <si>
    <t>소모품비나 공과금을 여기에 넣고 운영비에도 넣으면 이중 차감됩니다.</t>
  </si>
  <si>
    <t>전기·가스·수도·인터넷·소모품 등 운영 과정에서 드는 비용입니다.</t>
  </si>
  <si>
    <t>처음에는 과소평가하기 쉽기 때문에 보수적으로 잡습니다.</t>
  </si>
  <si>
    <t>청소/세탁비</t>
  </si>
  <si>
    <t>예약 1건마다 발생하는 턴오버 비용입니다.</t>
  </si>
  <si>
    <t>ALS가 짧을수록 청소 횟수가 늘어 순이익이 줄어듭니다.</t>
  </si>
  <si>
    <t>게스트 청구 청소비</t>
  </si>
  <si>
    <t>청소비를 상쇄하는 장치입니다.</t>
  </si>
  <si>
    <t>수익으로 보기보다 비용 방어로 보는 게 안전합니다. 과하면 클릭률·예약률에 악영향이 날 수 있습니다.</t>
  </si>
  <si>
    <t>ALS</t>
  </si>
  <si>
    <t>Average Length of Stay, 평균 숙박일수입니다.</t>
  </si>
  <si>
    <t>1박 예약이 많으면 청소비 부담이 급격히 커집니다.</t>
  </si>
  <si>
    <t>손익분기점에 필요한 예약률의 근사값입니다.</t>
  </si>
  <si>
    <t>BEP가 높을수록 공실 방어 여력이 작습니다.</t>
  </si>
  <si>
    <t>판정 기준</t>
  </si>
  <si>
    <t>권장 행동</t>
  </si>
  <si>
    <t>최악 또는 기준 시나리오에서도 목표 순이익에 근접/달성</t>
  </si>
  <si>
    <t>계약 검토 가능. 단, 합법성·동의·건물 상태는 별도 확인</t>
  </si>
  <si>
    <t>기준 시나리오에서는 가능하지만 최악에서 무너질 수 있음</t>
  </si>
  <si>
    <t>월세 협상, 초기비용 절감, 가격/최소숙박일 전략 보완</t>
  </si>
  <si>
    <t>낙관 시나리오에서도 목표 순이익이 어렵거나 적자 위험</t>
  </si>
  <si>
    <t>계약 보류 또는 탈락. 운영 실력으로 구조적 손실을 메우려 하지 않기</t>
  </si>
  <si>
    <t>3강 수익성 분석 판정기</t>
    <phoneticPr fontId="15" type="noConversion"/>
  </si>
  <si>
    <r>
      <rPr>
        <sz val="11"/>
        <rFont val="맑은 고딕"/>
        <family val="3"/>
        <charset val="129"/>
      </rPr>
      <t>청소</t>
    </r>
    <r>
      <rPr>
        <sz val="11"/>
        <rFont val="Arial"/>
        <family val="2"/>
      </rPr>
      <t>/</t>
    </r>
    <r>
      <rPr>
        <sz val="11"/>
        <rFont val="맑은 고딕"/>
        <family val="3"/>
        <charset val="129"/>
      </rPr>
      <t>세탁비</t>
    </r>
    <r>
      <rPr>
        <sz val="11"/>
        <rFont val="Arial"/>
        <family val="2"/>
      </rPr>
      <t>(1</t>
    </r>
    <r>
      <rPr>
        <sz val="11"/>
        <rFont val="맑은 고딕"/>
        <family val="3"/>
        <charset val="129"/>
      </rPr>
      <t>회</t>
    </r>
    <r>
      <rPr>
        <sz val="11"/>
        <rFont val="Arial"/>
        <family val="2"/>
      </rPr>
      <t xml:space="preserve">, </t>
    </r>
    <r>
      <rPr>
        <sz val="11"/>
        <rFont val="맑은 고딕"/>
        <family val="3"/>
        <charset val="129"/>
      </rPr>
      <t>예약</t>
    </r>
    <r>
      <rPr>
        <sz val="11"/>
        <rFont val="Arial"/>
        <family val="2"/>
      </rPr>
      <t xml:space="preserve"> 1</t>
    </r>
    <r>
      <rPr>
        <sz val="11"/>
        <rFont val="맑은 고딕"/>
        <family val="3"/>
        <charset val="129"/>
      </rPr>
      <t>건당</t>
    </r>
    <r>
      <rPr>
        <sz val="11"/>
        <rFont val="Arial"/>
        <family val="2"/>
      </rPr>
      <t>)</t>
    </r>
    <phoneticPr fontId="15" type="noConversion"/>
  </si>
  <si>
    <t>노란색</t>
    <phoneticPr fontId="15" type="noConversion"/>
  </si>
  <si>
    <r>
      <rPr>
        <sz val="11"/>
        <rFont val="맑은 고딕"/>
        <family val="3"/>
        <charset val="129"/>
      </rPr>
      <t>직접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입력</t>
    </r>
    <phoneticPr fontId="15" type="noConversion"/>
  </si>
  <si>
    <r>
      <rPr>
        <sz val="11"/>
        <rFont val="맑은 고딕"/>
        <family val="3"/>
        <charset val="129"/>
      </rPr>
      <t>월세가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이만큼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더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높아져도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목표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순수익을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맞출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수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있는지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확인</t>
    </r>
    <phoneticPr fontId="15" type="noConversion"/>
  </si>
  <si>
    <t>예약기간(일)</t>
    <phoneticPr fontId="15" type="noConversion"/>
  </si>
  <si>
    <t>검색기간 5개월, 예약기간은 최소 30~60일 이상 권장. 예약일수는 해당 기간 중 예약이 막힌 날짜 수를 세어 입력합니다.</t>
    <phoneticPr fontId="15" type="noConversion"/>
  </si>
  <si>
    <r>
      <rPr>
        <sz val="11"/>
        <rFont val="맑은 고딕"/>
        <family val="3"/>
        <charset val="129"/>
      </rPr>
      <t>비교숙소</t>
    </r>
    <r>
      <rPr>
        <sz val="11"/>
        <rFont val="Carlito"/>
        <family val="2"/>
      </rPr>
      <t xml:space="preserve"> </t>
    </r>
    <r>
      <rPr>
        <sz val="11"/>
        <rFont val="맑은 고딕"/>
        <family val="3"/>
        <charset val="129"/>
      </rPr>
      <t>평균</t>
    </r>
    <r>
      <rPr>
        <sz val="11"/>
        <rFont val="Carlito"/>
        <family val="2"/>
      </rPr>
      <t xml:space="preserve"> </t>
    </r>
    <r>
      <rPr>
        <sz val="11"/>
        <rFont val="맑은 고딕"/>
        <family val="3"/>
        <charset val="129"/>
      </rPr>
      <t>평일가를</t>
    </r>
    <r>
      <rPr>
        <sz val="11"/>
        <rFont val="Carlito"/>
        <family val="2"/>
      </rPr>
      <t xml:space="preserve"> </t>
    </r>
    <r>
      <rPr>
        <sz val="11"/>
        <rFont val="맑은 고딕"/>
        <family val="3"/>
        <charset val="129"/>
      </rPr>
      <t>최소 인원 기준 자동</t>
    </r>
    <r>
      <rPr>
        <sz val="11"/>
        <rFont val="Carlito"/>
        <family val="2"/>
      </rPr>
      <t xml:space="preserve"> </t>
    </r>
    <r>
      <rPr>
        <sz val="11"/>
        <rFont val="맑은 고딕"/>
        <family val="3"/>
        <charset val="129"/>
      </rPr>
      <t>반영합니다</t>
    </r>
    <r>
      <rPr>
        <sz val="11"/>
        <rFont val="Carlito"/>
        <family val="2"/>
      </rPr>
      <t xml:space="preserve">. </t>
    </r>
    <r>
      <rPr>
        <sz val="11"/>
        <rFont val="맑은 고딕"/>
        <family val="3"/>
        <charset val="129"/>
      </rPr>
      <t>필요</t>
    </r>
    <r>
      <rPr>
        <sz val="11"/>
        <rFont val="Carlito"/>
        <family val="2"/>
      </rPr>
      <t xml:space="preserve"> </t>
    </r>
    <r>
      <rPr>
        <sz val="11"/>
        <rFont val="맑은 고딕"/>
        <family val="3"/>
        <charset val="129"/>
      </rPr>
      <t>시</t>
    </r>
    <r>
      <rPr>
        <sz val="11"/>
        <rFont val="Carlito"/>
        <family val="2"/>
      </rPr>
      <t xml:space="preserve"> </t>
    </r>
    <r>
      <rPr>
        <sz val="11"/>
        <rFont val="맑은 고딕"/>
        <family val="3"/>
        <charset val="129"/>
      </rPr>
      <t>직접</t>
    </r>
    <r>
      <rPr>
        <sz val="11"/>
        <rFont val="Carlito"/>
        <family val="2"/>
      </rPr>
      <t xml:space="preserve"> </t>
    </r>
    <r>
      <rPr>
        <sz val="11"/>
        <rFont val="맑은 고딕"/>
        <family val="3"/>
        <charset val="129"/>
      </rPr>
      <t>입력해도</t>
    </r>
    <r>
      <rPr>
        <sz val="11"/>
        <rFont val="Carlito"/>
        <family val="2"/>
      </rPr>
      <t xml:space="preserve"> </t>
    </r>
    <r>
      <rPr>
        <sz val="11"/>
        <rFont val="맑은 고딕"/>
        <family val="3"/>
        <charset val="129"/>
      </rPr>
      <t>됩니다(인원 추가 비용은 직접 입력해보세요)</t>
    </r>
    <phoneticPr fontId="15" type="noConversion"/>
  </si>
  <si>
    <r>
      <rPr>
        <sz val="11"/>
        <rFont val="맑은 고딕"/>
        <family val="3"/>
        <charset val="129"/>
      </rPr>
      <t>비교숙소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평균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주말가를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최소 인원 기준 자동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반영합니다</t>
    </r>
    <r>
      <rPr>
        <sz val="11"/>
        <rFont val="Arial"/>
        <family val="2"/>
      </rPr>
      <t xml:space="preserve">. </t>
    </r>
    <r>
      <rPr>
        <sz val="11"/>
        <rFont val="맑은 고딕"/>
        <family val="3"/>
        <charset val="129"/>
      </rPr>
      <t>필요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시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직접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입력해도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됩니다</t>
    </r>
    <r>
      <rPr>
        <sz val="11"/>
        <rFont val="Arial"/>
        <family val="2"/>
      </rPr>
      <t>.</t>
    </r>
    <r>
      <rPr>
        <sz val="11"/>
        <rFont val="Carlito"/>
      </rPr>
      <t>(</t>
    </r>
    <r>
      <rPr>
        <sz val="11"/>
        <rFont val="맑은 고딕"/>
        <family val="3"/>
        <charset val="129"/>
      </rPr>
      <t>인원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추가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비용은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직접</t>
    </r>
    <r>
      <rPr>
        <sz val="11"/>
        <rFont val="Arial"/>
        <family val="2"/>
      </rPr>
      <t xml:space="preserve"> </t>
    </r>
    <r>
      <rPr>
        <sz val="11"/>
        <rFont val="맑은 고딕"/>
        <family val="3"/>
        <charset val="129"/>
      </rPr>
      <t>입력해보세요</t>
    </r>
    <r>
      <rPr>
        <sz val="11"/>
        <rFont val="Arial"/>
        <family val="2"/>
      </rPr>
      <t>)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</si>
</sst>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%"/>
    <numFmt numFmtId="178" formatCode="#,##0&quot;원&quot;"/>
  </numFmts>
  <fonts count="20">
    <font>
      <sz val="11"/>
      <name val="Carlito"/>
    </font>
    <font>
      <sz val="10"/>
      <color rgb="FF222222"/>
      <name val="맑은 고딕"/>
      <family val="3"/>
      <charset val="129"/>
    </font>
    <font>
      <b/>
      <sz val="16"/>
      <color rgb="FF1F4E78"/>
      <name val="맑은 고딕"/>
      <family val="3"/>
      <charset val="129"/>
    </font>
    <font>
      <i/>
      <sz val="10"/>
      <color rgb="FF666666"/>
      <name val="맑은 고딕"/>
      <family val="3"/>
      <charset val="129"/>
    </font>
    <font>
      <b/>
      <sz val="11"/>
      <color rgb="FF1F4E78"/>
      <name val="맑은 고딕"/>
      <family val="3"/>
      <charset val="129"/>
    </font>
    <font>
      <b/>
      <sz val="10"/>
      <name val="맑은 고딕"/>
      <family val="3"/>
      <charset val="129"/>
    </font>
    <font>
      <sz val="9"/>
      <color rgb="FF666666"/>
      <name val="맑은 고딕"/>
      <family val="3"/>
      <charset val="129"/>
    </font>
    <font>
      <b/>
      <sz val="10"/>
      <color rgb="FF1F4E78"/>
      <name val="맑은 고딕"/>
      <family val="3"/>
      <charset val="129"/>
    </font>
    <font>
      <b/>
      <sz val="11"/>
      <color rgb="FF1F1F1F"/>
      <name val="Carlito"/>
    </font>
    <font>
      <sz val="11"/>
      <color rgb="FF1F1F1F"/>
      <name val="Carlito"/>
    </font>
    <font>
      <b/>
      <sz val="10"/>
      <color rgb="FF1F1F1F"/>
      <name val="맑은 고딕"/>
      <family val="3"/>
      <charset val="129"/>
    </font>
    <font>
      <b/>
      <sz val="11"/>
      <color rgb="FF1F1F1F"/>
      <name val="맑은 고딕"/>
      <family val="3"/>
      <charset val="129"/>
    </font>
    <font>
      <sz val="11"/>
      <color rgb="FF666666"/>
      <name val="Carlito"/>
    </font>
    <font>
      <b/>
      <sz val="11"/>
      <name val="Carlito"/>
    </font>
    <font>
      <sz val="11"/>
      <name val="Carlito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Arial"/>
      <family val="2"/>
    </font>
    <font>
      <sz val="11"/>
      <name val="Carlito"/>
      <family val="3"/>
      <charset val="129"/>
    </font>
    <font>
      <sz val="11"/>
      <name val="Carlito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D9EAF7"/>
      </patternFill>
    </fill>
    <fill>
      <patternFill patternType="solid">
        <fgColor rgb="FFD9E1F2"/>
      </patternFill>
    </fill>
    <fill>
      <patternFill patternType="solid">
        <fgColor rgb="FFFFF8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7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center"/>
    </xf>
    <xf numFmtId="3" fontId="0" fillId="0" borderId="0" xfId="1" applyNumberFormat="1" applyFont="1"/>
    <xf numFmtId="176" fontId="0" fillId="0" borderId="0" xfId="1" applyNumberFormat="1" applyFont="1"/>
    <xf numFmtId="177" fontId="0" fillId="0" borderId="0" xfId="1" applyNumberFormat="1" applyFont="1"/>
    <xf numFmtId="0" fontId="6" fillId="0" borderId="0" xfId="1" applyFont="1"/>
    <xf numFmtId="2" fontId="0" fillId="0" borderId="0" xfId="1" applyNumberFormat="1" applyFont="1"/>
    <xf numFmtId="0" fontId="7" fillId="0" borderId="0" xfId="1" applyFont="1"/>
    <xf numFmtId="9" fontId="8" fillId="2" borderId="0" xfId="1" applyNumberFormat="1" applyFont="1" applyFill="1"/>
    <xf numFmtId="176" fontId="8" fillId="2" borderId="0" xfId="1" applyNumberFormat="1" applyFont="1" applyFill="1"/>
    <xf numFmtId="3" fontId="9" fillId="3" borderId="0" xfId="1" applyNumberFormat="1" applyFont="1" applyFill="1"/>
    <xf numFmtId="177" fontId="9" fillId="3" borderId="0" xfId="1" applyNumberFormat="1" applyFont="1" applyFill="1"/>
    <xf numFmtId="0" fontId="5" fillId="3" borderId="0" xfId="1" applyFont="1" applyFill="1"/>
    <xf numFmtId="0" fontId="10" fillId="3" borderId="0" xfId="1" applyFont="1" applyFill="1"/>
    <xf numFmtId="177" fontId="10" fillId="3" borderId="0" xfId="1" applyNumberFormat="1" applyFont="1" applyFill="1"/>
    <xf numFmtId="0" fontId="0" fillId="3" borderId="0" xfId="1" applyFont="1" applyFill="1"/>
    <xf numFmtId="0" fontId="9" fillId="3" borderId="0" xfId="1" applyFont="1" applyFill="1"/>
    <xf numFmtId="0" fontId="11" fillId="4" borderId="0" xfId="1" applyFont="1" applyFill="1"/>
    <xf numFmtId="0" fontId="10" fillId="5" borderId="0" xfId="1" applyFont="1" applyFill="1" applyAlignment="1">
      <alignment horizontal="center"/>
    </xf>
    <xf numFmtId="0" fontId="0" fillId="2" borderId="0" xfId="1" applyFont="1" applyFill="1"/>
    <xf numFmtId="0" fontId="9" fillId="2" borderId="0" xfId="1" applyFont="1" applyFill="1"/>
    <xf numFmtId="2" fontId="9" fillId="2" borderId="0" xfId="1" applyNumberFormat="1" applyFont="1" applyFill="1"/>
    <xf numFmtId="176" fontId="9" fillId="2" borderId="0" xfId="1" applyNumberFormat="1" applyFont="1" applyFill="1"/>
    <xf numFmtId="177" fontId="12" fillId="3" borderId="0" xfId="1" applyNumberFormat="1" applyFont="1" applyFill="1"/>
    <xf numFmtId="2" fontId="10" fillId="3" borderId="0" xfId="1" applyNumberFormat="1" applyFont="1" applyFill="1"/>
    <xf numFmtId="176" fontId="10" fillId="3" borderId="0" xfId="1" applyNumberFormat="1" applyFont="1" applyFill="1"/>
    <xf numFmtId="0" fontId="10" fillId="4" borderId="0" xfId="1" applyFont="1" applyFill="1"/>
    <xf numFmtId="0" fontId="3" fillId="6" borderId="0" xfId="1" applyFont="1" applyFill="1"/>
    <xf numFmtId="0" fontId="13" fillId="5" borderId="0" xfId="1" applyFont="1" applyFill="1"/>
    <xf numFmtId="0" fontId="13" fillId="6" borderId="0" xfId="1" applyFont="1" applyFill="1"/>
    <xf numFmtId="178" fontId="8" fillId="2" borderId="0" xfId="1" applyNumberFormat="1" applyFont="1" applyFill="1"/>
    <xf numFmtId="178" fontId="9" fillId="3" borderId="0" xfId="1" applyNumberFormat="1" applyFont="1" applyFill="1"/>
    <xf numFmtId="1" fontId="9" fillId="2" borderId="0" xfId="1" applyNumberFormat="1" applyFont="1" applyFill="1"/>
    <xf numFmtId="1" fontId="0" fillId="0" borderId="0" xfId="1" applyNumberFormat="1" applyFont="1"/>
    <xf numFmtId="1" fontId="10" fillId="3" borderId="0" xfId="1" applyNumberFormat="1" applyFont="1" applyFill="1"/>
    <xf numFmtId="178" fontId="9" fillId="2" borderId="0" xfId="1" applyNumberFormat="1" applyFont="1" applyFill="1"/>
    <xf numFmtId="178" fontId="0" fillId="0" borderId="0" xfId="1" applyNumberFormat="1" applyFont="1"/>
    <xf numFmtId="178" fontId="10" fillId="3" borderId="0" xfId="1" applyNumberFormat="1" applyFont="1" applyFill="1"/>
    <xf numFmtId="0" fontId="2" fillId="0" borderId="0" xfId="1" applyFont="1" applyAlignment="1">
      <alignment vertical="center"/>
    </xf>
    <xf numFmtId="0" fontId="18" fillId="0" borderId="0" xfId="0" applyFont="1"/>
    <xf numFmtId="0" fontId="16" fillId="2" borderId="0" xfId="1" applyFont="1" applyFill="1"/>
    <xf numFmtId="0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Normal" xfId="1" xr:uid="{00000000-0005-0000-0000-000000000000}"/>
    <cellStyle name="표준" xfId="0" builtinId="0"/>
  </cellStyles>
  <dxfs count="3"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9C6500"/>
      </font>
      <fill>
        <patternFill patternType="solid">
          <bgColor rgb="FFFFF2CC"/>
        </patternFill>
      </fill>
    </dxf>
    <dxf>
      <font>
        <b/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showGridLines="0" tabSelected="1" workbookViewId="0">
      <selection activeCell="C13" sqref="C13"/>
    </sheetView>
  </sheetViews>
  <sheetFormatPr defaultRowHeight="14.25"/>
  <cols>
    <col min="1" max="1" width="20" customWidth="1"/>
    <col min="2" max="2" width="16" customWidth="1"/>
    <col min="3" max="3" width="44" customWidth="1"/>
    <col min="4" max="4" width="12" customWidth="1"/>
    <col min="5" max="5" width="14" customWidth="1"/>
    <col min="6" max="6" width="25.5" bestFit="1" customWidth="1"/>
    <col min="7" max="8" width="16" customWidth="1"/>
    <col min="9" max="9" width="18" customWidth="1"/>
    <col min="10" max="12" width="16" customWidth="1"/>
    <col min="13" max="13" width="12" customWidth="1"/>
  </cols>
  <sheetData>
    <row r="1" spans="1:26" ht="27.95" customHeight="1">
      <c r="A1" s="42" t="s">
        <v>176</v>
      </c>
      <c r="B1" s="2"/>
      <c r="C1" s="2"/>
      <c r="D1" s="2"/>
      <c r="E1" s="2"/>
      <c r="F1" s="2"/>
      <c r="G1" s="32" t="s">
        <v>3</v>
      </c>
      <c r="H1" s="32" t="s">
        <v>4</v>
      </c>
      <c r="I1" s="2"/>
      <c r="J1" s="2"/>
      <c r="K1" s="2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3" t="s">
        <v>0</v>
      </c>
      <c r="B2" s="3"/>
      <c r="C2" s="3"/>
      <c r="D2" s="3"/>
      <c r="E2" s="3"/>
      <c r="F2" s="3"/>
      <c r="G2" s="44" t="s">
        <v>178</v>
      </c>
      <c r="H2" s="43" t="s">
        <v>179</v>
      </c>
      <c r="I2" s="3"/>
      <c r="J2" s="3"/>
      <c r="K2" s="3"/>
      <c r="L2" s="3"/>
      <c r="M2" s="3"/>
    </row>
    <row r="3" spans="1:26">
      <c r="G3" s="19" t="s">
        <v>16</v>
      </c>
      <c r="H3" t="s">
        <v>17</v>
      </c>
    </row>
    <row r="4" spans="1:26" ht="21.95" customHeight="1">
      <c r="A4" s="21" t="s">
        <v>1</v>
      </c>
      <c r="B4" s="21"/>
      <c r="C4" s="21"/>
      <c r="G4" s="21" t="s">
        <v>2</v>
      </c>
      <c r="H4" s="21"/>
      <c r="I4" s="21"/>
    </row>
    <row r="5" spans="1:26" ht="32.1" customHeight="1">
      <c r="A5" s="22" t="s">
        <v>5</v>
      </c>
      <c r="B5" s="22" t="s">
        <v>6</v>
      </c>
      <c r="C5" s="22" t="s">
        <v>7</v>
      </c>
      <c r="G5" s="22" t="s">
        <v>5</v>
      </c>
      <c r="H5" s="22" t="s">
        <v>8</v>
      </c>
      <c r="I5" s="22" t="s">
        <v>9</v>
      </c>
    </row>
    <row r="6" spans="1:26" ht="15">
      <c r="A6" t="s">
        <v>12</v>
      </c>
      <c r="B6" s="34">
        <v>1000000</v>
      </c>
      <c r="C6" t="s">
        <v>13</v>
      </c>
      <c r="G6" t="s">
        <v>14</v>
      </c>
      <c r="H6" s="17" t="str">
        <f>IF(L19&gt;=$B$6,"초록: 검토 가능",IF(L20&gt;=$B$6,"노랑: 협상/보완 필요",IF(L21&gt;=$B$6,"노랑: 낙관 시 가능(주의)","빨강: 탈락 권장")))</f>
        <v>노랑: 낙관 시 가능(주의)</v>
      </c>
      <c r="I6" t="s">
        <v>15</v>
      </c>
    </row>
    <row r="7" spans="1:26" ht="16.5">
      <c r="A7" t="s">
        <v>18</v>
      </c>
      <c r="B7" s="34">
        <v>1000000</v>
      </c>
      <c r="C7" t="s">
        <v>19</v>
      </c>
      <c r="G7" t="s">
        <v>20</v>
      </c>
      <c r="H7" s="17">
        <f>G26</f>
        <v>283175</v>
      </c>
      <c r="I7" s="43" t="s">
        <v>180</v>
      </c>
    </row>
    <row r="8" spans="1:26" ht="15">
      <c r="A8" t="s">
        <v>21</v>
      </c>
      <c r="B8" s="34">
        <v>300000</v>
      </c>
      <c r="C8" t="s">
        <v>22</v>
      </c>
      <c r="G8" t="s">
        <v>23</v>
      </c>
      <c r="H8" s="18">
        <f>I36</f>
        <v>0.4</v>
      </c>
      <c r="I8" t="s">
        <v>24</v>
      </c>
    </row>
    <row r="9" spans="1:26" ht="16.5">
      <c r="A9" s="43" t="s">
        <v>177</v>
      </c>
      <c r="B9" s="34">
        <v>35000</v>
      </c>
      <c r="C9" t="s">
        <v>25</v>
      </c>
      <c r="G9" t="s">
        <v>26</v>
      </c>
      <c r="H9" s="17">
        <f>L20</f>
        <v>983175</v>
      </c>
      <c r="I9" t="s">
        <v>27</v>
      </c>
    </row>
    <row r="10" spans="1:26" ht="15">
      <c r="A10" t="s">
        <v>28</v>
      </c>
      <c r="B10" s="34">
        <v>30000</v>
      </c>
      <c r="C10" t="s">
        <v>29</v>
      </c>
      <c r="G10" t="s">
        <v>30</v>
      </c>
      <c r="H10" s="17" t="str">
        <f>H26</f>
        <v>안전</v>
      </c>
      <c r="I10" t="s">
        <v>31</v>
      </c>
    </row>
    <row r="11" spans="1:26" ht="15">
      <c r="A11" t="s">
        <v>32</v>
      </c>
      <c r="B11" s="12">
        <v>0.17</v>
      </c>
      <c r="C11" t="s">
        <v>33</v>
      </c>
    </row>
    <row r="12" spans="1:26" ht="15">
      <c r="A12" t="s">
        <v>34</v>
      </c>
      <c r="B12" s="13">
        <v>2</v>
      </c>
      <c r="C12" t="s">
        <v>35</v>
      </c>
    </row>
    <row r="13" spans="1:26" ht="16.5">
      <c r="A13" t="s">
        <v>36</v>
      </c>
      <c r="B13" s="35">
        <f>IFERROR('비교숙소 10개'!E16,0)+20000</f>
        <v>134500</v>
      </c>
      <c r="C13" s="43" t="s">
        <v>183</v>
      </c>
    </row>
    <row r="14" spans="1:26" ht="16.5">
      <c r="A14" t="s">
        <v>37</v>
      </c>
      <c r="B14" s="35">
        <f>IFERROR('비교숙소 10개'!F16,0)+20000</f>
        <v>171000</v>
      </c>
      <c r="C14" s="43" t="s">
        <v>184</v>
      </c>
    </row>
    <row r="15" spans="1:26">
      <c r="A15" t="s">
        <v>38</v>
      </c>
      <c r="B15" s="15">
        <f>IFERROR('비교숙소 10개'!D16,0)</f>
        <v>0.66166666666666674</v>
      </c>
      <c r="C15" t="s">
        <v>39</v>
      </c>
    </row>
    <row r="17" spans="1:13" ht="21.95" customHeight="1">
      <c r="A17" s="21" t="s">
        <v>40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4"/>
      <c r="M17" s="4"/>
    </row>
    <row r="18" spans="1:13" ht="24" customHeight="1">
      <c r="A18" s="22" t="s">
        <v>41</v>
      </c>
      <c r="B18" s="22" t="s">
        <v>7</v>
      </c>
      <c r="C18" s="22" t="s">
        <v>42</v>
      </c>
      <c r="D18" s="22" t="s">
        <v>43</v>
      </c>
      <c r="E18" s="22" t="s">
        <v>44</v>
      </c>
      <c r="F18" s="22" t="s">
        <v>45</v>
      </c>
      <c r="G18" s="22" t="s">
        <v>46</v>
      </c>
      <c r="H18" s="22" t="s">
        <v>47</v>
      </c>
      <c r="I18" s="22" t="s">
        <v>48</v>
      </c>
      <c r="J18" s="22" t="s">
        <v>49</v>
      </c>
      <c r="K18" s="22" t="s">
        <v>50</v>
      </c>
      <c r="L18" s="5" t="s">
        <v>51</v>
      </c>
      <c r="M18" s="5" t="s">
        <v>52</v>
      </c>
    </row>
    <row r="19" spans="1:13" ht="24" customHeight="1">
      <c r="A19" t="s">
        <v>53</v>
      </c>
      <c r="B19" t="s">
        <v>54</v>
      </c>
      <c r="C19" s="15">
        <f>MAX(0,$B$15-0.15)</f>
        <v>0.51166666666666671</v>
      </c>
      <c r="D19" s="12">
        <v>-0.1</v>
      </c>
      <c r="E19" s="14">
        <f>MAX(0,G19-F19)</f>
        <v>11</v>
      </c>
      <c r="F19" s="14">
        <f>ROUND(G19*8/30,0)</f>
        <v>4</v>
      </c>
      <c r="G19" s="14">
        <f>ROUND(30*C19,0)</f>
        <v>15</v>
      </c>
      <c r="H19" s="14">
        <f>IFERROR(ROUNDUP(G19/$B$12,0),0)</f>
        <v>8</v>
      </c>
      <c r="I19" s="35">
        <f>E19*$B$13*(1+D19)+F19*$B$14*(1+D19)+H19*$B$10</f>
        <v>2187150</v>
      </c>
      <c r="J19" s="35">
        <f>I19*(1-$B$11)</f>
        <v>1815334.5</v>
      </c>
      <c r="K19" s="35">
        <f>$B$7+$B$8+H19*$B$9</f>
        <v>1580000</v>
      </c>
      <c r="L19" s="6">
        <f>J19-K19</f>
        <v>235334.5</v>
      </c>
      <c r="M19" t="str">
        <f>IF(L19&gt;=$B$6,"초록",IF(L19&gt;=0,"노랑","빨강"))</f>
        <v>노랑</v>
      </c>
    </row>
    <row r="20" spans="1:13" ht="24" customHeight="1">
      <c r="A20" t="s">
        <v>55</v>
      </c>
      <c r="B20" t="s">
        <v>56</v>
      </c>
      <c r="C20" s="15">
        <f>$B$15</f>
        <v>0.66166666666666674</v>
      </c>
      <c r="D20" s="12">
        <v>0</v>
      </c>
      <c r="E20" s="14">
        <f>MAX(0,G20-F20)</f>
        <v>15</v>
      </c>
      <c r="F20" s="14">
        <f>ROUND(G20*8/30,0)</f>
        <v>5</v>
      </c>
      <c r="G20" s="14">
        <f>ROUND(30*C20,0)</f>
        <v>20</v>
      </c>
      <c r="H20" s="14">
        <f>IFERROR(ROUNDUP(G20/$B$12,0),0)</f>
        <v>10</v>
      </c>
      <c r="I20" s="35">
        <f>E20*$B$13*(1+D20)+F20*$B$14*(1+D20)+H20*$B$10</f>
        <v>3172500</v>
      </c>
      <c r="J20" s="35">
        <f>I20*(1-$B$11)</f>
        <v>2633175</v>
      </c>
      <c r="K20" s="35">
        <f>$B$7+$B$8+H20*$B$9</f>
        <v>1650000</v>
      </c>
      <c r="L20" s="6">
        <f>J20-K20</f>
        <v>983175</v>
      </c>
      <c r="M20" t="str">
        <f>IF(L20&gt;=$B$6,"초록",IF(L20&gt;=0,"노랑","빨강"))</f>
        <v>노랑</v>
      </c>
    </row>
    <row r="21" spans="1:13" ht="24" customHeight="1">
      <c r="A21" t="s">
        <v>57</v>
      </c>
      <c r="B21" t="s">
        <v>58</v>
      </c>
      <c r="C21" s="15">
        <f>MIN(0.9,$B$15+0.1)</f>
        <v>0.76166666666666671</v>
      </c>
      <c r="D21" s="12">
        <v>0.1</v>
      </c>
      <c r="E21" s="14">
        <f>MAX(0,G21-F21)</f>
        <v>17</v>
      </c>
      <c r="F21" s="14">
        <f>ROUND(G21*8/30,0)</f>
        <v>6</v>
      </c>
      <c r="G21" s="14">
        <f>ROUND(30*C21,0)</f>
        <v>23</v>
      </c>
      <c r="H21" s="14">
        <f>IFERROR(ROUNDUP(G21/$B$12,0),0)</f>
        <v>12</v>
      </c>
      <c r="I21" s="35">
        <f>E21*$B$13*(1+D21)+F21*$B$14*(1+D21)+H21*$B$10</f>
        <v>4003750</v>
      </c>
      <c r="J21" s="35">
        <f>I21*(1-$B$11)</f>
        <v>3323112.5</v>
      </c>
      <c r="K21" s="35">
        <f>$B$7+$B$8+H21*$B$9</f>
        <v>1720000</v>
      </c>
      <c r="L21" s="6">
        <f>J21-K21</f>
        <v>1603112.5</v>
      </c>
      <c r="M21" t="str">
        <f>IF(L21&gt;=$B$6,"초록",IF(L21&gt;=0,"노랑","빨강"))</f>
        <v>초록</v>
      </c>
    </row>
    <row r="23" spans="1:13" ht="21.95" customHeight="1">
      <c r="A23" s="21" t="s">
        <v>59</v>
      </c>
      <c r="B23" s="21"/>
      <c r="C23" s="21"/>
      <c r="D23" s="21"/>
      <c r="E23" s="21"/>
      <c r="F23" s="21"/>
      <c r="G23" s="21"/>
      <c r="H23" s="21"/>
    </row>
    <row r="24" spans="1:13" ht="24" customHeight="1">
      <c r="A24" s="22" t="s">
        <v>41</v>
      </c>
      <c r="B24" s="22" t="s">
        <v>49</v>
      </c>
      <c r="C24" s="22" t="s">
        <v>60</v>
      </c>
      <c r="D24" s="22" t="s">
        <v>61</v>
      </c>
      <c r="E24" s="22" t="s">
        <v>62</v>
      </c>
      <c r="F24" s="22" t="s">
        <v>63</v>
      </c>
      <c r="G24" s="22" t="s">
        <v>64</v>
      </c>
      <c r="H24" s="22" t="s">
        <v>52</v>
      </c>
    </row>
    <row r="25" spans="1:13" ht="24" customHeight="1">
      <c r="A25" t="s">
        <v>53</v>
      </c>
      <c r="B25" s="35">
        <f>J19</f>
        <v>1815334.5</v>
      </c>
      <c r="C25" s="35">
        <f>$B$8</f>
        <v>300000</v>
      </c>
      <c r="D25" s="35">
        <f>H19*$B$9-H19*$B$10</f>
        <v>40000</v>
      </c>
      <c r="E25" s="35">
        <f>$B$6</f>
        <v>1000000</v>
      </c>
      <c r="F25" s="35">
        <f>B25-C25-D25-E25</f>
        <v>475334.5</v>
      </c>
      <c r="G25" s="35">
        <f>F25-$B$7</f>
        <v>-524665.5</v>
      </c>
      <c r="H25" s="20" t="str">
        <f>IF(G25&gt;=0,"안전",IF(G25&gt;=-200000,"주의","위험"))</f>
        <v>위험</v>
      </c>
    </row>
    <row r="26" spans="1:13" ht="24" customHeight="1">
      <c r="A26" t="s">
        <v>55</v>
      </c>
      <c r="B26" s="35">
        <f>J20</f>
        <v>2633175</v>
      </c>
      <c r="C26" s="35">
        <f>$B$8</f>
        <v>300000</v>
      </c>
      <c r="D26" s="35">
        <f t="shared" ref="D26:D27" si="0">H20*$B$9-H20*$B$10</f>
        <v>50000</v>
      </c>
      <c r="E26" s="35">
        <f>$B$6</f>
        <v>1000000</v>
      </c>
      <c r="F26" s="35">
        <f>B26-C26-D26-E26</f>
        <v>1283175</v>
      </c>
      <c r="G26" s="35">
        <f>F26-$B$7</f>
        <v>283175</v>
      </c>
      <c r="H26" s="20" t="str">
        <f>IF(G26&gt;=0,"안전",IF(G26&gt;=-200000,"주의","위험"))</f>
        <v>안전</v>
      </c>
    </row>
    <row r="27" spans="1:13" ht="24" customHeight="1">
      <c r="A27" t="s">
        <v>57</v>
      </c>
      <c r="B27" s="35">
        <f>J21</f>
        <v>3323112.5</v>
      </c>
      <c r="C27" s="35">
        <f>$B$8</f>
        <v>300000</v>
      </c>
      <c r="D27" s="35">
        <f t="shared" si="0"/>
        <v>60000</v>
      </c>
      <c r="E27" s="35">
        <f>$B$6</f>
        <v>1000000</v>
      </c>
      <c r="F27" s="35">
        <f>B27-C27-D27-E27</f>
        <v>1963112.5</v>
      </c>
      <c r="G27" s="35">
        <f>F27-$B$7</f>
        <v>963112.5</v>
      </c>
      <c r="H27" s="20" t="str">
        <f>IF(G27&gt;=0,"안전",IF(G27&gt;=-200000,"주의","위험"))</f>
        <v>안전</v>
      </c>
    </row>
    <row r="29" spans="1:13" ht="21.95" customHeight="1">
      <c r="A29" s="21" t="s">
        <v>65</v>
      </c>
      <c r="B29" s="21"/>
      <c r="C29" s="21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33.950000000000003" customHeight="1">
      <c r="A30" t="s">
        <v>66</v>
      </c>
      <c r="B30" t="s">
        <v>67</v>
      </c>
    </row>
    <row r="31" spans="1:13" ht="33.950000000000003" customHeight="1">
      <c r="A31" t="s">
        <v>68</v>
      </c>
      <c r="B31" t="s">
        <v>69</v>
      </c>
    </row>
    <row r="32" spans="1:13" ht="33.950000000000003" customHeight="1">
      <c r="A32" t="s">
        <v>70</v>
      </c>
      <c r="B32" t="s">
        <v>71</v>
      </c>
    </row>
    <row r="34" spans="1:13" ht="21.95" customHeight="1">
      <c r="A34" s="21" t="s">
        <v>72</v>
      </c>
      <c r="B34" s="21"/>
      <c r="C34" s="21"/>
      <c r="D34" s="21"/>
      <c r="E34" s="21"/>
      <c r="F34" s="21"/>
      <c r="G34" s="21"/>
      <c r="H34" s="21"/>
      <c r="I34" s="21"/>
    </row>
    <row r="35" spans="1:13" ht="32.1" customHeight="1">
      <c r="A35" s="22" t="s">
        <v>73</v>
      </c>
      <c r="B35" s="22"/>
      <c r="C35" s="22" t="s">
        <v>74</v>
      </c>
      <c r="D35" s="22"/>
      <c r="E35" s="22" t="s">
        <v>75</v>
      </c>
      <c r="F35" s="22"/>
      <c r="G35" s="22" t="s">
        <v>76</v>
      </c>
      <c r="H35" s="22" t="s">
        <v>77</v>
      </c>
      <c r="I35" s="22"/>
    </row>
    <row r="36" spans="1:13">
      <c r="B36" s="14">
        <f>$B$13*5/7+$B$14*2/7</f>
        <v>144928.57142857142</v>
      </c>
      <c r="C36" s="20"/>
      <c r="D36" s="14">
        <f>B36*(1-$B$11)+($B$10*(1-$B$11)-$B$9)/$B$12</f>
        <v>115240.71428571428</v>
      </c>
      <c r="E36" s="20"/>
      <c r="F36" s="14">
        <f>$B$7+$B$8</f>
        <v>1300000</v>
      </c>
      <c r="G36" s="20"/>
      <c r="H36" s="14">
        <f>IF(D36&gt;0,ROUNDUP(F36/D36,0),999)</f>
        <v>12</v>
      </c>
      <c r="I36" s="15">
        <f>IFERROR(H36/30,0)</f>
        <v>0.4</v>
      </c>
    </row>
    <row r="38" spans="1:13" ht="27.95" customHeight="1">
      <c r="A38" s="9" t="s">
        <v>78</v>
      </c>
      <c r="B38" s="9" t="s">
        <v>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>
      <c r="A39" s="33" t="s">
        <v>80</v>
      </c>
    </row>
    <row r="40" spans="1:13">
      <c r="A40" t="s">
        <v>81</v>
      </c>
      <c r="B40" t="s">
        <v>82</v>
      </c>
      <c r="C40" t="s">
        <v>83</v>
      </c>
    </row>
    <row r="41" spans="1:13">
      <c r="A41" t="s">
        <v>81</v>
      </c>
      <c r="B41" t="s">
        <v>84</v>
      </c>
      <c r="C41" t="s">
        <v>85</v>
      </c>
    </row>
    <row r="42" spans="1:13">
      <c r="A42" t="s">
        <v>86</v>
      </c>
      <c r="B42" t="s">
        <v>87</v>
      </c>
      <c r="C42" t="s">
        <v>88</v>
      </c>
    </row>
  </sheetData>
  <phoneticPr fontId="15" type="noConversion"/>
  <conditionalFormatting sqref="H6">
    <cfRule type="containsText" dxfId="2" priority="1" operator="containsText" text="초록"/>
    <cfRule type="containsText" dxfId="1" priority="2" operator="containsText" text="노랑"/>
    <cfRule type="containsText" dxfId="0" priority="3" operator="containsText" text="빨강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2"/>
  <sheetViews>
    <sheetView showGridLines="0" workbookViewId="0">
      <selection activeCell="B21" sqref="B21"/>
    </sheetView>
  </sheetViews>
  <sheetFormatPr defaultRowHeight="14.25"/>
  <cols>
    <col min="1" max="1" width="14" customWidth="1"/>
    <col min="2" max="2" width="13" customWidth="1"/>
    <col min="3" max="4" width="12" customWidth="1"/>
    <col min="5" max="6" width="16" customWidth="1"/>
    <col min="7" max="7" width="11" customWidth="1"/>
    <col min="8" max="8" width="10" customWidth="1"/>
    <col min="9" max="9" width="11" customWidth="1"/>
    <col min="10" max="10" width="38" customWidth="1"/>
  </cols>
  <sheetData>
    <row r="1" spans="1:26" ht="27.95" customHeight="1">
      <c r="A1" s="42" t="s">
        <v>89</v>
      </c>
      <c r="B1" s="2"/>
      <c r="C1" s="2"/>
      <c r="D1" s="2"/>
      <c r="E1" s="2"/>
      <c r="F1" s="2"/>
      <c r="G1" s="2"/>
      <c r="H1" s="2"/>
      <c r="I1" s="2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31" t="s">
        <v>90</v>
      </c>
      <c r="B2" s="31"/>
      <c r="C2" s="31"/>
      <c r="D2" s="31"/>
      <c r="E2" s="31"/>
      <c r="F2" s="31"/>
      <c r="G2" s="31"/>
      <c r="H2" s="31"/>
      <c r="I2" s="31"/>
      <c r="J2" s="31"/>
    </row>
    <row r="4" spans="1:26" ht="33.950000000000003" customHeight="1">
      <c r="A4" s="22" t="s">
        <v>91</v>
      </c>
      <c r="B4" s="22" t="s">
        <v>181</v>
      </c>
      <c r="C4" s="22" t="s">
        <v>92</v>
      </c>
      <c r="D4" s="22" t="s">
        <v>42</v>
      </c>
      <c r="E4" s="22" t="s">
        <v>36</v>
      </c>
      <c r="F4" s="22" t="s">
        <v>37</v>
      </c>
      <c r="G4" s="22" t="s">
        <v>93</v>
      </c>
      <c r="H4" s="22" t="s">
        <v>94</v>
      </c>
      <c r="I4" s="22" t="s">
        <v>95</v>
      </c>
      <c r="J4" s="22" t="s">
        <v>96</v>
      </c>
      <c r="L4" s="32" t="s">
        <v>3</v>
      </c>
      <c r="M4" s="32" t="s">
        <v>4</v>
      </c>
    </row>
    <row r="5" spans="1:26">
      <c r="A5" s="24" t="s">
        <v>97</v>
      </c>
      <c r="B5" s="36">
        <v>60</v>
      </c>
      <c r="C5" s="36">
        <v>40</v>
      </c>
      <c r="D5" s="27">
        <f t="shared" ref="D5:D14" si="0">IFERROR(C5/B5,0)</f>
        <v>0.66666666666666663</v>
      </c>
      <c r="E5" s="39">
        <v>80000</v>
      </c>
      <c r="F5" s="39">
        <v>120000</v>
      </c>
      <c r="G5" s="25">
        <v>4.8</v>
      </c>
      <c r="H5" s="36">
        <v>3</v>
      </c>
      <c r="I5" s="26">
        <v>2</v>
      </c>
      <c r="J5" s="24"/>
      <c r="L5" s="23" t="s">
        <v>10</v>
      </c>
      <c r="M5" t="s">
        <v>11</v>
      </c>
    </row>
    <row r="6" spans="1:26">
      <c r="A6" s="24" t="s">
        <v>98</v>
      </c>
      <c r="B6" s="36">
        <v>60</v>
      </c>
      <c r="C6" s="36">
        <v>40</v>
      </c>
      <c r="D6" s="27">
        <f t="shared" si="0"/>
        <v>0.66666666666666663</v>
      </c>
      <c r="E6" s="39">
        <v>120000</v>
      </c>
      <c r="F6" s="39">
        <v>140000</v>
      </c>
      <c r="G6" s="25">
        <v>4.95</v>
      </c>
      <c r="H6" s="36">
        <v>52</v>
      </c>
      <c r="I6" s="26">
        <v>2.2000000000000002</v>
      </c>
      <c r="J6" s="24"/>
      <c r="L6" s="19" t="s">
        <v>16</v>
      </c>
      <c r="M6" t="s">
        <v>17</v>
      </c>
    </row>
    <row r="7" spans="1:26">
      <c r="A7" s="24" t="s">
        <v>99</v>
      </c>
      <c r="B7" s="36">
        <v>60</v>
      </c>
      <c r="C7" s="36">
        <v>40</v>
      </c>
      <c r="D7" s="27">
        <f t="shared" si="0"/>
        <v>0.66666666666666663</v>
      </c>
      <c r="E7" s="39">
        <v>110000</v>
      </c>
      <c r="F7" s="39">
        <v>160000</v>
      </c>
      <c r="G7" s="25">
        <v>4.99</v>
      </c>
      <c r="H7" s="36">
        <v>43</v>
      </c>
      <c r="I7" s="26">
        <v>2.5</v>
      </c>
      <c r="J7" s="24"/>
    </row>
    <row r="8" spans="1:26">
      <c r="A8" s="24" t="s">
        <v>100</v>
      </c>
      <c r="B8" s="36">
        <v>60</v>
      </c>
      <c r="C8" s="36">
        <v>39</v>
      </c>
      <c r="D8" s="27">
        <f t="shared" si="0"/>
        <v>0.65</v>
      </c>
      <c r="E8" s="39">
        <v>130000</v>
      </c>
      <c r="F8" s="39">
        <v>130000</v>
      </c>
      <c r="G8" s="25">
        <v>5</v>
      </c>
      <c r="H8" s="36">
        <v>20</v>
      </c>
      <c r="I8" s="26">
        <v>2</v>
      </c>
      <c r="J8" s="24"/>
    </row>
    <row r="9" spans="1:26">
      <c r="A9" s="24" t="s">
        <v>101</v>
      </c>
      <c r="B9" s="36">
        <v>60</v>
      </c>
      <c r="C9" s="36">
        <v>51</v>
      </c>
      <c r="D9" s="27">
        <f t="shared" si="0"/>
        <v>0.85</v>
      </c>
      <c r="E9" s="39">
        <v>140000</v>
      </c>
      <c r="F9" s="39">
        <v>180000</v>
      </c>
      <c r="G9" s="25">
        <v>4.83</v>
      </c>
      <c r="H9" s="36">
        <v>18</v>
      </c>
      <c r="I9" s="26">
        <v>1.8</v>
      </c>
      <c r="J9" s="24"/>
    </row>
    <row r="10" spans="1:26">
      <c r="A10" s="24" t="s">
        <v>102</v>
      </c>
      <c r="B10" s="36">
        <v>60</v>
      </c>
      <c r="C10" s="36">
        <v>43</v>
      </c>
      <c r="D10" s="27">
        <f t="shared" si="0"/>
        <v>0.71666666666666667</v>
      </c>
      <c r="E10" s="39">
        <v>100000</v>
      </c>
      <c r="F10" s="39">
        <v>150000</v>
      </c>
      <c r="G10" s="25">
        <v>4.9000000000000004</v>
      </c>
      <c r="H10" s="36">
        <v>12</v>
      </c>
      <c r="I10" s="26">
        <v>2</v>
      </c>
      <c r="J10" s="24"/>
    </row>
    <row r="11" spans="1:26">
      <c r="A11" s="24" t="s">
        <v>103</v>
      </c>
      <c r="B11" s="36">
        <v>60</v>
      </c>
      <c r="C11" s="36">
        <v>35</v>
      </c>
      <c r="D11" s="27">
        <f t="shared" si="0"/>
        <v>0.58333333333333337</v>
      </c>
      <c r="E11" s="39">
        <v>115000</v>
      </c>
      <c r="F11" s="39">
        <v>155000</v>
      </c>
      <c r="G11" s="25">
        <v>4.88</v>
      </c>
      <c r="H11" s="36">
        <v>31</v>
      </c>
      <c r="I11" s="26">
        <v>2.2999999999999998</v>
      </c>
      <c r="J11" s="24"/>
    </row>
    <row r="12" spans="1:26">
      <c r="A12" s="24" t="s">
        <v>104</v>
      </c>
      <c r="B12" s="36">
        <v>60</v>
      </c>
      <c r="C12" s="36">
        <v>39</v>
      </c>
      <c r="D12" s="27">
        <f t="shared" si="0"/>
        <v>0.65</v>
      </c>
      <c r="E12" s="39">
        <v>90000</v>
      </c>
      <c r="F12" s="39">
        <v>130000</v>
      </c>
      <c r="G12" s="25">
        <v>4.75</v>
      </c>
      <c r="H12" s="36">
        <v>7</v>
      </c>
      <c r="I12" s="26">
        <v>1.5</v>
      </c>
      <c r="J12" s="24"/>
    </row>
    <row r="13" spans="1:26">
      <c r="A13" s="24" t="s">
        <v>105</v>
      </c>
      <c r="B13" s="36">
        <v>60</v>
      </c>
      <c r="C13" s="36">
        <v>32</v>
      </c>
      <c r="D13" s="27">
        <f t="shared" si="0"/>
        <v>0.53333333333333333</v>
      </c>
      <c r="E13" s="39">
        <v>125000</v>
      </c>
      <c r="F13" s="39">
        <v>170000</v>
      </c>
      <c r="G13" s="25">
        <v>4.92</v>
      </c>
      <c r="H13" s="36">
        <v>21</v>
      </c>
      <c r="I13" s="26">
        <v>2.1</v>
      </c>
      <c r="J13" s="24"/>
    </row>
    <row r="14" spans="1:26">
      <c r="A14" s="24" t="s">
        <v>106</v>
      </c>
      <c r="B14" s="36">
        <v>60</v>
      </c>
      <c r="C14" s="36">
        <v>38</v>
      </c>
      <c r="D14" s="27">
        <f t="shared" si="0"/>
        <v>0.6333333333333333</v>
      </c>
      <c r="E14" s="39">
        <v>135000</v>
      </c>
      <c r="F14" s="39">
        <v>175000</v>
      </c>
      <c r="G14" s="25">
        <v>4.97</v>
      </c>
      <c r="H14" s="36">
        <v>46</v>
      </c>
      <c r="I14" s="26">
        <v>2.4</v>
      </c>
      <c r="J14" s="24"/>
    </row>
    <row r="15" spans="1:26">
      <c r="B15" s="37"/>
      <c r="C15" s="37"/>
      <c r="D15" s="8"/>
      <c r="E15" s="40"/>
      <c r="F15" s="40"/>
      <c r="G15" s="10"/>
      <c r="H15" s="37"/>
      <c r="I15" s="7"/>
    </row>
    <row r="16" spans="1:26" ht="15">
      <c r="A16" s="30" t="s">
        <v>107</v>
      </c>
      <c r="B16" s="38">
        <f t="shared" ref="B16:I16" si="1">AVERAGE(B5:B14)</f>
        <v>60</v>
      </c>
      <c r="C16" s="38">
        <f t="shared" si="1"/>
        <v>39.700000000000003</v>
      </c>
      <c r="D16" s="18">
        <f t="shared" si="1"/>
        <v>0.66166666666666674</v>
      </c>
      <c r="E16" s="41">
        <f t="shared" si="1"/>
        <v>114500</v>
      </c>
      <c r="F16" s="41">
        <f t="shared" si="1"/>
        <v>151000</v>
      </c>
      <c r="G16" s="28">
        <f t="shared" si="1"/>
        <v>4.899</v>
      </c>
      <c r="H16" s="38">
        <f t="shared" si="1"/>
        <v>25.3</v>
      </c>
      <c r="I16" s="29">
        <f t="shared" si="1"/>
        <v>2.08</v>
      </c>
      <c r="J16" s="16" t="s">
        <v>108</v>
      </c>
    </row>
    <row r="17" spans="1:10" ht="15">
      <c r="A17" s="30" t="s">
        <v>109</v>
      </c>
      <c r="B17" s="38">
        <f t="shared" ref="B17:I17" si="2">MEDIAN(B5:B14)</f>
        <v>60</v>
      </c>
      <c r="C17" s="38">
        <f t="shared" si="2"/>
        <v>39.5</v>
      </c>
      <c r="D17" s="18">
        <f t="shared" si="2"/>
        <v>0.65833333333333333</v>
      </c>
      <c r="E17" s="41">
        <f t="shared" si="2"/>
        <v>117500</v>
      </c>
      <c r="F17" s="41">
        <f t="shared" si="2"/>
        <v>152500</v>
      </c>
      <c r="G17" s="28">
        <f t="shared" si="2"/>
        <v>4.91</v>
      </c>
      <c r="H17" s="38">
        <f t="shared" si="2"/>
        <v>20.5</v>
      </c>
      <c r="I17" s="29">
        <f t="shared" si="2"/>
        <v>2.0499999999999998</v>
      </c>
      <c r="J17" s="16" t="s">
        <v>110</v>
      </c>
    </row>
    <row r="18" spans="1:10" ht="15">
      <c r="A18" s="30" t="s">
        <v>111</v>
      </c>
      <c r="B18" s="38">
        <f t="shared" ref="B18:I18" si="3">MIN(B5:B14)</f>
        <v>60</v>
      </c>
      <c r="C18" s="38">
        <f t="shared" si="3"/>
        <v>32</v>
      </c>
      <c r="D18" s="18">
        <f t="shared" si="3"/>
        <v>0.53333333333333333</v>
      </c>
      <c r="E18" s="41">
        <f t="shared" si="3"/>
        <v>80000</v>
      </c>
      <c r="F18" s="41">
        <f t="shared" si="3"/>
        <v>120000</v>
      </c>
      <c r="G18" s="28">
        <f t="shared" si="3"/>
        <v>4.75</v>
      </c>
      <c r="H18" s="38">
        <f t="shared" si="3"/>
        <v>3</v>
      </c>
      <c r="I18" s="29">
        <f t="shared" si="3"/>
        <v>1.5</v>
      </c>
      <c r="J18" s="16" t="s">
        <v>112</v>
      </c>
    </row>
    <row r="19" spans="1:10" ht="15">
      <c r="A19" s="30" t="s">
        <v>113</v>
      </c>
      <c r="B19" s="38">
        <f t="shared" ref="B19:I19" si="4">MAX(B5:B14)</f>
        <v>60</v>
      </c>
      <c r="C19" s="38">
        <f t="shared" si="4"/>
        <v>51</v>
      </c>
      <c r="D19" s="18">
        <f t="shared" si="4"/>
        <v>0.85</v>
      </c>
      <c r="E19" s="41">
        <f t="shared" si="4"/>
        <v>140000</v>
      </c>
      <c r="F19" s="41">
        <f t="shared" si="4"/>
        <v>180000</v>
      </c>
      <c r="G19" s="28">
        <f t="shared" si="4"/>
        <v>5</v>
      </c>
      <c r="H19" s="38">
        <f t="shared" si="4"/>
        <v>52</v>
      </c>
      <c r="I19" s="29">
        <f t="shared" si="4"/>
        <v>2.5</v>
      </c>
      <c r="J19" s="16" t="s">
        <v>114</v>
      </c>
    </row>
    <row r="21" spans="1:10" ht="33.950000000000003" customHeight="1">
      <c r="A21" s="9" t="s">
        <v>115</v>
      </c>
      <c r="B21" s="9" t="s">
        <v>182</v>
      </c>
      <c r="C21" s="9"/>
      <c r="D21" s="9"/>
      <c r="E21" s="9"/>
      <c r="F21" s="9"/>
      <c r="G21" s="9"/>
      <c r="H21" s="9"/>
      <c r="I21" s="9"/>
      <c r="J21" s="9"/>
    </row>
    <row r="22" spans="1:10" ht="33.950000000000003" customHeight="1">
      <c r="A22" s="9" t="s">
        <v>78</v>
      </c>
      <c r="B22" s="9" t="s">
        <v>116</v>
      </c>
      <c r="C22" s="9"/>
      <c r="D22" s="9"/>
      <c r="E22" s="9"/>
      <c r="F22" s="9"/>
      <c r="G22" s="9"/>
      <c r="H22" s="9"/>
      <c r="I22" s="9"/>
      <c r="J22" s="9"/>
    </row>
  </sheetData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6"/>
  <sheetViews>
    <sheetView showGridLines="0" topLeftCell="A4" workbookViewId="0">
      <selection activeCell="A9" sqref="A9:D9"/>
    </sheetView>
  </sheetViews>
  <sheetFormatPr defaultRowHeight="14.25"/>
  <cols>
    <col min="1" max="1" width="22" customWidth="1"/>
    <col min="2" max="3" width="48" customWidth="1"/>
    <col min="4" max="4" width="32" customWidth="1"/>
  </cols>
  <sheetData>
    <row r="1" spans="1:26" ht="27.95" customHeight="1">
      <c r="A1" s="42" t="s">
        <v>117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7.95" customHeight="1">
      <c r="A2" t="s">
        <v>118</v>
      </c>
      <c r="B2" t="s">
        <v>119</v>
      </c>
    </row>
    <row r="4" spans="1:26" ht="27.95" customHeight="1">
      <c r="A4" s="45" t="s">
        <v>120</v>
      </c>
      <c r="B4" s="45" t="s">
        <v>7</v>
      </c>
      <c r="C4" s="45" t="s">
        <v>121</v>
      </c>
      <c r="D4" s="45" t="s">
        <v>122</v>
      </c>
    </row>
    <row r="5" spans="1:26" ht="39.950000000000003" customHeight="1">
      <c r="A5" s="46" t="s">
        <v>123</v>
      </c>
      <c r="B5" s="46" t="s">
        <v>124</v>
      </c>
      <c r="C5" s="46" t="s">
        <v>125</v>
      </c>
      <c r="D5" s="46" t="s">
        <v>126</v>
      </c>
    </row>
    <row r="6" spans="1:26" ht="39.950000000000003" customHeight="1">
      <c r="A6" s="46" t="s">
        <v>127</v>
      </c>
      <c r="B6" s="46" t="s">
        <v>128</v>
      </c>
      <c r="C6" s="46" t="s">
        <v>129</v>
      </c>
      <c r="D6" s="46" t="s">
        <v>130</v>
      </c>
    </row>
    <row r="7" spans="1:26" ht="39.950000000000003" customHeight="1">
      <c r="A7" s="46" t="s">
        <v>131</v>
      </c>
      <c r="B7" s="46" t="s">
        <v>132</v>
      </c>
      <c r="C7" s="46" t="s">
        <v>133</v>
      </c>
      <c r="D7" s="46" t="s">
        <v>134</v>
      </c>
    </row>
    <row r="8" spans="1:26" ht="39.950000000000003" customHeight="1">
      <c r="A8" s="46" t="s">
        <v>135</v>
      </c>
      <c r="B8" s="46" t="s">
        <v>136</v>
      </c>
      <c r="C8" s="46" t="s">
        <v>137</v>
      </c>
      <c r="D8" s="46" t="s">
        <v>138</v>
      </c>
    </row>
    <row r="9" spans="1:26" ht="39.950000000000003" customHeight="1">
      <c r="A9" s="46" t="s">
        <v>139</v>
      </c>
      <c r="B9" s="46" t="s">
        <v>140</v>
      </c>
      <c r="C9" s="46" t="s">
        <v>141</v>
      </c>
      <c r="D9" s="46" t="s">
        <v>142</v>
      </c>
    </row>
    <row r="11" spans="1:26" ht="27.95" customHeight="1">
      <c r="A11" s="45" t="s">
        <v>143</v>
      </c>
      <c r="B11" s="45" t="s">
        <v>144</v>
      </c>
      <c r="C11" s="45" t="s">
        <v>145</v>
      </c>
      <c r="D11" s="45" t="s">
        <v>146</v>
      </c>
    </row>
    <row r="12" spans="1:26" ht="44.1" customHeight="1">
      <c r="A12" s="46" t="s">
        <v>147</v>
      </c>
      <c r="B12" s="46" t="s">
        <v>148</v>
      </c>
      <c r="C12" s="46" t="s">
        <v>149</v>
      </c>
      <c r="D12" s="46"/>
    </row>
    <row r="13" spans="1:26" ht="44.1" customHeight="1">
      <c r="A13" s="46" t="s">
        <v>32</v>
      </c>
      <c r="B13" s="46" t="s">
        <v>150</v>
      </c>
      <c r="C13" s="46" t="s">
        <v>151</v>
      </c>
      <c r="D13" s="46"/>
    </row>
    <row r="14" spans="1:26" ht="44.1" customHeight="1">
      <c r="A14" s="46" t="s">
        <v>152</v>
      </c>
      <c r="B14" s="46" t="s">
        <v>153</v>
      </c>
      <c r="C14" s="46" t="s">
        <v>154</v>
      </c>
      <c r="D14" s="46"/>
    </row>
    <row r="15" spans="1:26" ht="44.1" customHeight="1">
      <c r="A15" s="46" t="s">
        <v>60</v>
      </c>
      <c r="B15" s="46" t="s">
        <v>155</v>
      </c>
      <c r="C15" s="46" t="s">
        <v>156</v>
      </c>
      <c r="D15" s="46"/>
    </row>
    <row r="16" spans="1:26" ht="44.1" customHeight="1">
      <c r="A16" s="46" t="s">
        <v>157</v>
      </c>
      <c r="B16" s="46" t="s">
        <v>158</v>
      </c>
      <c r="C16" s="46" t="s">
        <v>159</v>
      </c>
      <c r="D16" s="46"/>
    </row>
    <row r="17" spans="1:4" ht="44.1" customHeight="1">
      <c r="A17" s="46" t="s">
        <v>160</v>
      </c>
      <c r="B17" s="46" t="s">
        <v>161</v>
      </c>
      <c r="C17" s="46" t="s">
        <v>162</v>
      </c>
      <c r="D17" s="46"/>
    </row>
    <row r="18" spans="1:4" ht="44.1" customHeight="1">
      <c r="A18" s="46" t="s">
        <v>163</v>
      </c>
      <c r="B18" s="46" t="s">
        <v>164</v>
      </c>
      <c r="C18" s="46" t="s">
        <v>165</v>
      </c>
      <c r="D18" s="46"/>
    </row>
    <row r="19" spans="1:4" ht="44.1" customHeight="1">
      <c r="A19" s="46" t="s">
        <v>77</v>
      </c>
      <c r="B19" s="46" t="s">
        <v>166</v>
      </c>
      <c r="C19" s="46" t="s">
        <v>167</v>
      </c>
      <c r="D19" s="46"/>
    </row>
    <row r="21" spans="1:4" ht="27.95" customHeight="1">
      <c r="A21" s="45" t="s">
        <v>168</v>
      </c>
      <c r="B21" s="45" t="s">
        <v>4</v>
      </c>
      <c r="C21" s="45" t="s">
        <v>169</v>
      </c>
      <c r="D21" s="5"/>
    </row>
    <row r="22" spans="1:4" ht="39.950000000000003" customHeight="1">
      <c r="A22" s="46" t="s">
        <v>66</v>
      </c>
      <c r="B22" s="46" t="s">
        <v>170</v>
      </c>
      <c r="C22" s="46" t="s">
        <v>171</v>
      </c>
    </row>
    <row r="23" spans="1:4" ht="39.950000000000003" customHeight="1">
      <c r="A23" s="46" t="s">
        <v>68</v>
      </c>
      <c r="B23" s="46" t="s">
        <v>172</v>
      </c>
      <c r="C23" s="46" t="s">
        <v>173</v>
      </c>
    </row>
    <row r="24" spans="1:4" ht="39.950000000000003" customHeight="1">
      <c r="A24" s="46" t="s">
        <v>70</v>
      </c>
      <c r="B24" s="46" t="s">
        <v>174</v>
      </c>
      <c r="C24" s="46" t="s">
        <v>175</v>
      </c>
    </row>
    <row r="26" spans="1:4" ht="33.950000000000003" customHeight="1">
      <c r="A26" s="11"/>
      <c r="B26" s="11"/>
      <c r="C26" s="11"/>
      <c r="D26" s="11"/>
    </row>
  </sheetData>
  <phoneticPr fontId="15" type="noConversion"/>
  <pageMargins left="0.7" right="0.7" top="0.75" bottom="0.75" header="0.3" footer="0.3"/>
  <pageSetup paperSize="12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수익성 판정기</vt:lpstr>
      <vt:lpstr>비교숙소 10개</vt:lpstr>
      <vt:lpstr>계산 가이드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박명준</cp:lastModifiedBy>
  <dcterms:modified xsi:type="dcterms:W3CDTF">2026-05-09T05:30:26Z</dcterms:modified>
</cp:coreProperties>
</file>